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8_{183FE3B3-3D98-454C-8F07-E8CD0802A2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definedNames>
    <definedName name="_xlnm.Print_Area" localSheetId="0">'Ark1'!$B$1:$L$27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C34" i="1" s="1"/>
  <c r="L26" i="1" l="1"/>
  <c r="L27" i="1" s="1"/>
  <c r="L6" i="1" s="1"/>
  <c r="C31" i="1"/>
  <c r="P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C26" i="1" l="1"/>
  <c r="C27" i="1" s="1"/>
  <c r="C25" i="1" s="1"/>
  <c r="J26" i="1"/>
  <c r="J27" i="1" s="1"/>
  <c r="D26" i="1"/>
  <c r="D27" i="1" s="1"/>
  <c r="H26" i="1"/>
  <c r="H27" i="1" s="1"/>
  <c r="F26" i="1"/>
  <c r="F27" i="1" s="1"/>
  <c r="K26" i="1"/>
  <c r="K27" i="1" s="1"/>
  <c r="E26" i="1"/>
  <c r="E27" i="1" s="1"/>
  <c r="G26" i="1"/>
  <c r="G27" i="1" s="1"/>
  <c r="I26" i="1"/>
  <c r="I27" i="1" s="1"/>
  <c r="C6" i="1" l="1"/>
  <c r="C17" i="1"/>
  <c r="L21" i="1"/>
  <c r="L8" i="1"/>
  <c r="L15" i="1"/>
  <c r="L13" i="1"/>
  <c r="L22" i="1"/>
  <c r="L9" i="1"/>
  <c r="L16" i="1"/>
  <c r="L24" i="1"/>
  <c r="L10" i="1"/>
  <c r="L19" i="1"/>
  <c r="L14" i="1"/>
  <c r="L23" i="1"/>
  <c r="L7" i="1"/>
  <c r="L18" i="1"/>
  <c r="L17" i="1"/>
  <c r="L12" i="1"/>
  <c r="L20" i="1"/>
  <c r="L11" i="1"/>
  <c r="L25" i="1"/>
  <c r="K21" i="1"/>
  <c r="K8" i="1"/>
  <c r="K10" i="1"/>
  <c r="K22" i="1"/>
  <c r="K17" i="1"/>
  <c r="K15" i="1"/>
  <c r="K20" i="1"/>
  <c r="K14" i="1"/>
  <c r="K7" i="1"/>
  <c r="K6" i="1"/>
  <c r="K18" i="1"/>
  <c r="K23" i="1"/>
  <c r="K13" i="1"/>
  <c r="K16" i="1"/>
  <c r="K19" i="1"/>
  <c r="K24" i="1"/>
  <c r="K12" i="1"/>
  <c r="K9" i="1"/>
  <c r="K25" i="1"/>
  <c r="K11" i="1"/>
  <c r="E16" i="1"/>
  <c r="E9" i="1"/>
  <c r="E7" i="1"/>
  <c r="E15" i="1"/>
  <c r="E6" i="1"/>
  <c r="E11" i="1"/>
  <c r="E18" i="1"/>
  <c r="E23" i="1"/>
  <c r="E19" i="1"/>
  <c r="E13" i="1"/>
  <c r="E21" i="1"/>
  <c r="E14" i="1"/>
  <c r="E25" i="1"/>
  <c r="E17" i="1"/>
  <c r="E24" i="1"/>
  <c r="E8" i="1"/>
  <c r="E20" i="1"/>
  <c r="E22" i="1"/>
  <c r="E10" i="1"/>
  <c r="E12" i="1"/>
  <c r="F15" i="1"/>
  <c r="F8" i="1"/>
  <c r="F18" i="1"/>
  <c r="F22" i="1"/>
  <c r="F14" i="1"/>
  <c r="F10" i="1"/>
  <c r="F20" i="1"/>
  <c r="F16" i="1"/>
  <c r="F13" i="1"/>
  <c r="F17" i="1"/>
  <c r="F7" i="1"/>
  <c r="F25" i="1"/>
  <c r="F12" i="1"/>
  <c r="F21" i="1"/>
  <c r="F23" i="1"/>
  <c r="F9" i="1"/>
  <c r="F11" i="1"/>
  <c r="F6" i="1"/>
  <c r="F24" i="1"/>
  <c r="F19" i="1"/>
  <c r="H12" i="1"/>
  <c r="H24" i="1"/>
  <c r="H7" i="1"/>
  <c r="H6" i="1"/>
  <c r="H11" i="1"/>
  <c r="H10" i="1"/>
  <c r="H18" i="1"/>
  <c r="H25" i="1"/>
  <c r="H8" i="1"/>
  <c r="H9" i="1"/>
  <c r="H13" i="1"/>
  <c r="H23" i="1"/>
  <c r="H20" i="1"/>
  <c r="H21" i="1"/>
  <c r="H16" i="1"/>
  <c r="H15" i="1"/>
  <c r="H14" i="1"/>
  <c r="H19" i="1"/>
  <c r="H22" i="1"/>
  <c r="H17" i="1"/>
  <c r="C10" i="1"/>
  <c r="C8" i="1"/>
  <c r="C7" i="1"/>
  <c r="C11" i="1"/>
  <c r="C23" i="1"/>
  <c r="C13" i="1"/>
  <c r="C12" i="1"/>
  <c r="C9" i="1"/>
  <c r="C14" i="1"/>
  <c r="C18" i="1"/>
  <c r="C24" i="1"/>
  <c r="C21" i="1"/>
  <c r="C15" i="1"/>
  <c r="C19" i="1"/>
  <c r="C20" i="1"/>
  <c r="C16" i="1"/>
  <c r="C22" i="1"/>
  <c r="I20" i="1"/>
  <c r="I12" i="1"/>
  <c r="I6" i="1"/>
  <c r="I8" i="1"/>
  <c r="I23" i="1"/>
  <c r="I19" i="1"/>
  <c r="I25" i="1"/>
  <c r="I9" i="1"/>
  <c r="I18" i="1"/>
  <c r="I10" i="1"/>
  <c r="I24" i="1"/>
  <c r="I7" i="1"/>
  <c r="I15" i="1"/>
  <c r="I11" i="1"/>
  <c r="I14" i="1"/>
  <c r="I17" i="1"/>
  <c r="I13" i="1"/>
  <c r="I22" i="1"/>
  <c r="I16" i="1"/>
  <c r="I21" i="1"/>
  <c r="D24" i="1"/>
  <c r="D21" i="1"/>
  <c r="D10" i="1"/>
  <c r="D6" i="1"/>
  <c r="D14" i="1"/>
  <c r="D19" i="1"/>
  <c r="D12" i="1"/>
  <c r="D18" i="1"/>
  <c r="D25" i="1"/>
  <c r="D11" i="1"/>
  <c r="D13" i="1"/>
  <c r="D17" i="1"/>
  <c r="D16" i="1"/>
  <c r="D15" i="1"/>
  <c r="D22" i="1"/>
  <c r="D9" i="1"/>
  <c r="D8" i="1"/>
  <c r="D23" i="1"/>
  <c r="D7" i="1"/>
  <c r="D20" i="1"/>
  <c r="G13" i="1"/>
  <c r="G9" i="1"/>
  <c r="G24" i="1"/>
  <c r="G6" i="1"/>
  <c r="G8" i="1"/>
  <c r="G22" i="1"/>
  <c r="G14" i="1"/>
  <c r="G21" i="1"/>
  <c r="G25" i="1"/>
  <c r="G17" i="1"/>
  <c r="G20" i="1"/>
  <c r="G19" i="1"/>
  <c r="G10" i="1"/>
  <c r="G12" i="1"/>
  <c r="G16" i="1"/>
  <c r="G15" i="1"/>
  <c r="G11" i="1"/>
  <c r="G18" i="1"/>
  <c r="G7" i="1"/>
  <c r="G23" i="1"/>
  <c r="J23" i="1"/>
  <c r="J13" i="1"/>
  <c r="J12" i="1"/>
  <c r="J8" i="1"/>
  <c r="J20" i="1"/>
  <c r="J6" i="1"/>
  <c r="J7" i="1"/>
  <c r="J25" i="1"/>
  <c r="J9" i="1"/>
  <c r="J17" i="1"/>
  <c r="J24" i="1"/>
  <c r="J15" i="1"/>
  <c r="J16" i="1"/>
  <c r="J18" i="1"/>
  <c r="J14" i="1"/>
  <c r="J11" i="1"/>
  <c r="J10" i="1"/>
  <c r="J22" i="1"/>
  <c r="J19" i="1"/>
  <c r="J21" i="1"/>
</calcChain>
</file>

<file path=xl/sharedStrings.xml><?xml version="1.0" encoding="utf-8"?>
<sst xmlns="http://schemas.openxmlformats.org/spreadsheetml/2006/main" count="30" uniqueCount="30">
  <si>
    <t>PRAKTISERENDE LÆGERS ORGANISATION</t>
  </si>
  <si>
    <t>timer</t>
  </si>
  <si>
    <t>1. trin</t>
  </si>
  <si>
    <t>2. trin</t>
  </si>
  <si>
    <t>3. trin</t>
  </si>
  <si>
    <t>4. trin</t>
  </si>
  <si>
    <t>5. trin</t>
  </si>
  <si>
    <t>6. trin</t>
  </si>
  <si>
    <t>7. trin</t>
  </si>
  <si>
    <t>8. trin</t>
  </si>
  <si>
    <t>9. trin</t>
  </si>
  <si>
    <t>10. trin</t>
  </si>
  <si>
    <t>2    60%</t>
  </si>
  <si>
    <t>6    33%</t>
  </si>
  <si>
    <t>11   25%</t>
  </si>
  <si>
    <t>14   20%</t>
  </si>
  <si>
    <t>18   15%</t>
  </si>
  <si>
    <t>Ret her:</t>
  </si>
  <si>
    <t>Netto</t>
  </si>
  <si>
    <t>Brutto</t>
  </si>
  <si>
    <t>Terman Tranberg, Danske Regioner (tt@regioner.dk + 35 29 82 24) har 22. marts 2007 hjulpet med at oversætte henvisningen til den gl.. OK til gældende OK.</t>
  </si>
  <si>
    <t>Kopi af Overenskomst for overlæger mellem ARF og Foreningen af Speciallæger findes på: 'G:\LAK\Ad hoc\Bedriftlægers løn'.</t>
  </si>
  <si>
    <t xml:space="preserve">Arbejdsgivers pensionsbidrag, jf. aftale om løn- og ansættelsesvilkår for bedriftslæger mellem DA og PLO § 8 stk. 8. </t>
  </si>
  <si>
    <t>Antal ugl.</t>
  </si>
  <si>
    <t>Pensionsgivende grundløn, jf. overenskomst for overlæger § 4 stk. 1 - angivet i 31. marts 2018-niveau.</t>
  </si>
  <si>
    <t>Pensionsgivende funktionstillæg til overlæger, der ikke varetager formaliseret vagt, jf. overenskomst for overlæger § 5 stk. 2  - angivet i 31. marts 2018-niveau.</t>
  </si>
  <si>
    <t>Nettoløn (ekskl. pension) - angivet i 31. marts 2018-niveau.</t>
  </si>
  <si>
    <t>Procentregulering pr 1. april 2024 - findes på KTOs eller på Danske Regioners hjemmeside.</t>
  </si>
  <si>
    <t>Nettoløn (ekskl. pension) - pct.reguleret til 1. april 2024-niveau.</t>
  </si>
  <si>
    <t>Bruttoløn for bedriftslæger pr. 1.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</si>
</sst>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0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7"/>
      <color indexed="10"/>
      <name val="Verdana"/>
      <family val="2"/>
    </font>
    <font>
      <sz val="7.5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Protection="0"/>
    <xf numFmtId="164" fontId="8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quotePrefix="1" applyFont="1"/>
    <xf numFmtId="0" fontId="2" fillId="0" borderId="0" xfId="0" applyFont="1"/>
    <xf numFmtId="2" fontId="0" fillId="0" borderId="0" xfId="0" applyNumberFormat="1"/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4" fillId="0" borderId="0" xfId="0" applyFont="1"/>
    <xf numFmtId="2" fontId="4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4" fillId="0" borderId="5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8" xfId="0" applyNumberFormat="1" applyFont="1" applyBorder="1"/>
    <xf numFmtId="4" fontId="4" fillId="0" borderId="0" xfId="0" applyNumberFormat="1" applyFont="1"/>
    <xf numFmtId="3" fontId="5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/>
    <xf numFmtId="165" fontId="5" fillId="0" borderId="0" xfId="0" applyNumberFormat="1" applyFont="1"/>
    <xf numFmtId="0" fontId="3" fillId="0" borderId="9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4" fontId="4" fillId="0" borderId="11" xfId="0" applyNumberFormat="1" applyFont="1" applyBorder="1"/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4" xfId="0" quotePrefix="1" applyFont="1" applyBorder="1" applyAlignment="1">
      <alignment horizontal="left"/>
    </xf>
    <xf numFmtId="0" fontId="3" fillId="0" borderId="15" xfId="0" quotePrefix="1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3" xfId="0" quotePrefix="1" applyFont="1" applyBorder="1" applyAlignment="1">
      <alignment horizontal="center"/>
    </xf>
    <xf numFmtId="0" fontId="9" fillId="0" borderId="0" xfId="0" applyFont="1"/>
    <xf numFmtId="0" fontId="1" fillId="0" borderId="0" xfId="0" applyFont="1"/>
  </cellXfs>
  <cellStyles count="2">
    <cellStyle name="Komma 2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zoomScale="130" zoomScaleNormal="130" workbookViewId="0">
      <selection activeCell="B3" sqref="B3"/>
    </sheetView>
  </sheetViews>
  <sheetFormatPr defaultColWidth="9.7109375" defaultRowHeight="12.75" x14ac:dyDescent="0.2"/>
  <cols>
    <col min="1" max="1" width="4.140625" customWidth="1"/>
    <col min="2" max="12" width="11.28515625" customWidth="1"/>
    <col min="13" max="13" width="1.28515625" customWidth="1"/>
    <col min="14" max="14" width="6" style="3" customWidth="1"/>
    <col min="15" max="15" width="3" bestFit="1" customWidth="1"/>
    <col min="16" max="16" width="4.5703125" bestFit="1" customWidth="1"/>
  </cols>
  <sheetData>
    <row r="1" spans="1:17" ht="20.25" x14ac:dyDescent="0.3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ht="20.25" x14ac:dyDescent="0.3">
      <c r="B2" s="1" t="s">
        <v>29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ht="11.25" customHeight="1" thickBot="1" x14ac:dyDescent="0.3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7" x14ac:dyDescent="0.2">
      <c r="A4" s="30"/>
      <c r="B4" s="28" t="s">
        <v>23</v>
      </c>
      <c r="C4" s="21"/>
      <c r="D4" s="4"/>
      <c r="E4" s="4"/>
      <c r="F4" s="4"/>
      <c r="G4" s="4"/>
      <c r="H4" s="4"/>
      <c r="I4" s="4"/>
      <c r="J4" s="4"/>
      <c r="K4" s="4"/>
      <c r="L4" s="5"/>
      <c r="M4" s="6"/>
      <c r="N4" s="7"/>
      <c r="O4" s="6"/>
      <c r="P4" s="6"/>
      <c r="Q4" s="6"/>
    </row>
    <row r="5" spans="1:17" ht="13.5" thickBot="1" x14ac:dyDescent="0.25">
      <c r="B5" s="29" t="s">
        <v>1</v>
      </c>
      <c r="C5" s="22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9" t="s">
        <v>11</v>
      </c>
      <c r="M5" s="6"/>
      <c r="N5" s="7"/>
      <c r="O5" s="6"/>
      <c r="P5" s="6"/>
      <c r="Q5" s="6"/>
    </row>
    <row r="6" spans="1:17" x14ac:dyDescent="0.2">
      <c r="B6" s="24">
        <v>1</v>
      </c>
      <c r="C6" s="10">
        <f>SUM(C$27/37*$O6*(1+$P6))</f>
        <v>37250.453344994588</v>
      </c>
      <c r="D6" s="10">
        <f t="shared" ref="C6:L15" si="0">SUM(D$27/37*$O6*(1+$P6))</f>
        <v>37847.210101751341</v>
      </c>
      <c r="E6" s="10">
        <f t="shared" si="0"/>
        <v>38443.966858508102</v>
      </c>
      <c r="F6" s="10">
        <f t="shared" si="0"/>
        <v>39339.101993643242</v>
      </c>
      <c r="G6" s="10">
        <f t="shared" si="0"/>
        <v>39935.858750399995</v>
      </c>
      <c r="H6" s="10">
        <f t="shared" si="0"/>
        <v>40532.615507156755</v>
      </c>
      <c r="I6" s="10">
        <f t="shared" si="0"/>
        <v>41129.372263913509</v>
      </c>
      <c r="J6" s="10">
        <f t="shared" si="0"/>
        <v>41775.858750399995</v>
      </c>
      <c r="K6" s="10">
        <f t="shared" si="0"/>
        <v>42422.345236886482</v>
      </c>
      <c r="L6" s="10">
        <f>SUM(L$27/37*$O6*(1+$P6))</f>
        <v>42820.183074724322</v>
      </c>
      <c r="M6" s="6"/>
      <c r="N6" s="7"/>
      <c r="O6" s="6">
        <v>1</v>
      </c>
      <c r="P6" s="7">
        <f>3/5</f>
        <v>0.6</v>
      </c>
      <c r="Q6" s="6"/>
    </row>
    <row r="7" spans="1:17" x14ac:dyDescent="0.2">
      <c r="B7" s="24" t="s">
        <v>12</v>
      </c>
      <c r="C7" s="10">
        <f t="shared" si="0"/>
        <v>74500.906689989177</v>
      </c>
      <c r="D7" s="10">
        <f t="shared" si="0"/>
        <v>75694.420203502683</v>
      </c>
      <c r="E7" s="10">
        <f t="shared" si="0"/>
        <v>76887.933717016203</v>
      </c>
      <c r="F7" s="10">
        <f t="shared" si="0"/>
        <v>78678.203987286484</v>
      </c>
      <c r="G7" s="10">
        <f t="shared" si="0"/>
        <v>79871.71750079999</v>
      </c>
      <c r="H7" s="10">
        <f t="shared" si="0"/>
        <v>81065.231014313511</v>
      </c>
      <c r="I7" s="10">
        <f t="shared" si="0"/>
        <v>82258.744527827017</v>
      </c>
      <c r="J7" s="10">
        <f t="shared" si="0"/>
        <v>83551.71750079999</v>
      </c>
      <c r="K7" s="10">
        <f t="shared" si="0"/>
        <v>84844.690473772964</v>
      </c>
      <c r="L7" s="10">
        <f t="shared" si="0"/>
        <v>85640.366149448644</v>
      </c>
      <c r="M7" s="6"/>
      <c r="N7" s="7"/>
      <c r="O7" s="6">
        <v>2</v>
      </c>
      <c r="P7" s="7">
        <f>3/5</f>
        <v>0.6</v>
      </c>
      <c r="Q7" s="6"/>
    </row>
    <row r="8" spans="1:17" ht="13.5" thickBot="1" x14ac:dyDescent="0.25">
      <c r="B8" s="25">
        <v>3</v>
      </c>
      <c r="C8" s="11">
        <f t="shared" si="0"/>
        <v>111751.36003498375</v>
      </c>
      <c r="D8" s="11">
        <f t="shared" si="0"/>
        <v>113541.63030525405</v>
      </c>
      <c r="E8" s="11">
        <f t="shared" si="0"/>
        <v>115331.9005755243</v>
      </c>
      <c r="F8" s="11">
        <f t="shared" si="0"/>
        <v>118017.30598092971</v>
      </c>
      <c r="G8" s="11">
        <f t="shared" si="0"/>
        <v>119807.57625119999</v>
      </c>
      <c r="H8" s="11">
        <f t="shared" si="0"/>
        <v>121597.84652147026</v>
      </c>
      <c r="I8" s="11">
        <f t="shared" si="0"/>
        <v>123388.11679174053</v>
      </c>
      <c r="J8" s="11">
        <f t="shared" si="0"/>
        <v>125327.57625119999</v>
      </c>
      <c r="K8" s="11">
        <f t="shared" si="0"/>
        <v>127267.03571065945</v>
      </c>
      <c r="L8" s="11">
        <f t="shared" si="0"/>
        <v>128460.54922417295</v>
      </c>
      <c r="M8" s="6"/>
      <c r="N8" s="7"/>
      <c r="O8" s="6">
        <v>3</v>
      </c>
      <c r="P8" s="7">
        <f>3/5</f>
        <v>0.6</v>
      </c>
      <c r="Q8" s="6"/>
    </row>
    <row r="9" spans="1:17" x14ac:dyDescent="0.2">
      <c r="B9" s="24">
        <v>4</v>
      </c>
      <c r="C9" s="23">
        <f t="shared" si="0"/>
        <v>124168.17781664862</v>
      </c>
      <c r="D9" s="10">
        <f t="shared" si="0"/>
        <v>126157.3670058378</v>
      </c>
      <c r="E9" s="10">
        <f t="shared" si="0"/>
        <v>128146.55619502699</v>
      </c>
      <c r="F9" s="10">
        <f t="shared" si="0"/>
        <v>131130.33997881078</v>
      </c>
      <c r="G9" s="10">
        <f t="shared" si="0"/>
        <v>133119.52916799998</v>
      </c>
      <c r="H9" s="10">
        <f t="shared" si="0"/>
        <v>135108.71835718915</v>
      </c>
      <c r="I9" s="10">
        <f t="shared" si="0"/>
        <v>137097.90754637835</v>
      </c>
      <c r="J9" s="10">
        <f t="shared" si="0"/>
        <v>139252.86250133329</v>
      </c>
      <c r="K9" s="10">
        <f t="shared" si="0"/>
        <v>141407.81745628826</v>
      </c>
      <c r="L9" s="10">
        <f t="shared" si="0"/>
        <v>142733.94358241439</v>
      </c>
      <c r="M9" s="6"/>
      <c r="N9" s="7"/>
      <c r="O9" s="6">
        <v>4</v>
      </c>
      <c r="P9" s="7">
        <f t="shared" ref="P9:P14" si="1">1/3</f>
        <v>0.33333333333333331</v>
      </c>
      <c r="Q9" s="6"/>
    </row>
    <row r="10" spans="1:17" x14ac:dyDescent="0.2">
      <c r="B10" s="24">
        <v>5</v>
      </c>
      <c r="C10" s="10">
        <f t="shared" si="0"/>
        <v>155210.22227081077</v>
      </c>
      <c r="D10" s="10">
        <f t="shared" si="0"/>
        <v>157696.70875729725</v>
      </c>
      <c r="E10" s="10">
        <f t="shared" si="0"/>
        <v>160183.19524378376</v>
      </c>
      <c r="F10" s="10">
        <f t="shared" si="0"/>
        <v>163912.92497351347</v>
      </c>
      <c r="G10" s="10">
        <f t="shared" si="0"/>
        <v>166399.41145999997</v>
      </c>
      <c r="H10" s="10">
        <f t="shared" si="0"/>
        <v>168885.89794648645</v>
      </c>
      <c r="I10" s="10">
        <f t="shared" si="0"/>
        <v>171372.38443297293</v>
      </c>
      <c r="J10" s="10">
        <f t="shared" si="0"/>
        <v>174066.07812666663</v>
      </c>
      <c r="K10" s="10">
        <f t="shared" si="0"/>
        <v>176759.77182036033</v>
      </c>
      <c r="L10" s="10">
        <f t="shared" si="0"/>
        <v>178417.42947801799</v>
      </c>
      <c r="M10" s="6"/>
      <c r="N10" s="7"/>
      <c r="O10" s="6">
        <v>5</v>
      </c>
      <c r="P10" s="7">
        <f t="shared" si="1"/>
        <v>0.33333333333333331</v>
      </c>
      <c r="Q10" s="6"/>
    </row>
    <row r="11" spans="1:17" x14ac:dyDescent="0.2">
      <c r="B11" s="24" t="s">
        <v>13</v>
      </c>
      <c r="C11" s="10">
        <f t="shared" si="0"/>
        <v>186252.2667249729</v>
      </c>
      <c r="D11" s="10">
        <f t="shared" si="0"/>
        <v>189236.05050875671</v>
      </c>
      <c r="E11" s="10">
        <f t="shared" si="0"/>
        <v>192219.83429254047</v>
      </c>
      <c r="F11" s="10">
        <f t="shared" si="0"/>
        <v>196695.50996821618</v>
      </c>
      <c r="G11" s="10">
        <f t="shared" si="0"/>
        <v>199679.29375199997</v>
      </c>
      <c r="H11" s="10">
        <f t="shared" si="0"/>
        <v>202663.07753578376</v>
      </c>
      <c r="I11" s="10">
        <f t="shared" si="0"/>
        <v>205646.86131956754</v>
      </c>
      <c r="J11" s="10">
        <f t="shared" si="0"/>
        <v>208879.29375199997</v>
      </c>
      <c r="K11" s="10">
        <f t="shared" si="0"/>
        <v>212111.72618443239</v>
      </c>
      <c r="L11" s="10">
        <f t="shared" si="0"/>
        <v>214100.91537362157</v>
      </c>
      <c r="M11" s="6"/>
      <c r="N11" s="7"/>
      <c r="O11" s="6">
        <v>6</v>
      </c>
      <c r="P11" s="7">
        <f t="shared" si="1"/>
        <v>0.33333333333333331</v>
      </c>
      <c r="Q11" s="6"/>
    </row>
    <row r="12" spans="1:17" x14ac:dyDescent="0.2">
      <c r="B12" s="24">
        <v>7</v>
      </c>
      <c r="C12" s="10">
        <f t="shared" si="0"/>
        <v>217294.31117913505</v>
      </c>
      <c r="D12" s="10">
        <f t="shared" si="0"/>
        <v>220775.39226021618</v>
      </c>
      <c r="E12" s="10">
        <f t="shared" si="0"/>
        <v>224256.47334129724</v>
      </c>
      <c r="F12" s="10">
        <f t="shared" si="0"/>
        <v>229478.0949629189</v>
      </c>
      <c r="G12" s="10">
        <f t="shared" si="0"/>
        <v>232959.17604399996</v>
      </c>
      <c r="H12" s="10">
        <f t="shared" si="0"/>
        <v>236440.25712508103</v>
      </c>
      <c r="I12" s="10">
        <f t="shared" si="0"/>
        <v>239921.33820616212</v>
      </c>
      <c r="J12" s="10">
        <f t="shared" si="0"/>
        <v>243692.50937733328</v>
      </c>
      <c r="K12" s="10">
        <f t="shared" si="0"/>
        <v>247463.68054850446</v>
      </c>
      <c r="L12" s="10">
        <f t="shared" si="0"/>
        <v>249784.4012692252</v>
      </c>
      <c r="M12" s="6"/>
      <c r="N12" s="7"/>
      <c r="O12" s="6">
        <v>7</v>
      </c>
      <c r="P12" s="7">
        <f t="shared" si="1"/>
        <v>0.33333333333333331</v>
      </c>
      <c r="Q12" s="6"/>
    </row>
    <row r="13" spans="1:17" x14ac:dyDescent="0.2">
      <c r="B13" s="24">
        <v>8</v>
      </c>
      <c r="C13" s="10">
        <f t="shared" si="0"/>
        <v>248336.35563329724</v>
      </c>
      <c r="D13" s="10">
        <f t="shared" si="0"/>
        <v>252314.73401167561</v>
      </c>
      <c r="E13" s="10">
        <f t="shared" si="0"/>
        <v>256293.11239005398</v>
      </c>
      <c r="F13" s="10">
        <f t="shared" si="0"/>
        <v>262260.67995762156</v>
      </c>
      <c r="G13" s="10">
        <f t="shared" si="0"/>
        <v>266239.05833599996</v>
      </c>
      <c r="H13" s="10">
        <f t="shared" si="0"/>
        <v>270217.4367143783</v>
      </c>
      <c r="I13" s="10">
        <f t="shared" si="0"/>
        <v>274195.8150927567</v>
      </c>
      <c r="J13" s="10">
        <f t="shared" si="0"/>
        <v>278505.72500266659</v>
      </c>
      <c r="K13" s="10">
        <f t="shared" si="0"/>
        <v>282815.63491257653</v>
      </c>
      <c r="L13" s="10">
        <f t="shared" si="0"/>
        <v>285467.88716482877</v>
      </c>
      <c r="M13" s="6"/>
      <c r="N13" s="7"/>
      <c r="O13" s="6">
        <v>8</v>
      </c>
      <c r="P13" s="7">
        <f t="shared" si="1"/>
        <v>0.33333333333333331</v>
      </c>
      <c r="Q13" s="6"/>
    </row>
    <row r="14" spans="1:17" ht="13.5" thickBot="1" x14ac:dyDescent="0.25">
      <c r="B14" s="25">
        <v>9</v>
      </c>
      <c r="C14" s="11">
        <f t="shared" si="0"/>
        <v>279378.40008745936</v>
      </c>
      <c r="D14" s="11">
        <f t="shared" si="0"/>
        <v>283854.07576313504</v>
      </c>
      <c r="E14" s="11">
        <f t="shared" si="0"/>
        <v>288329.75143881072</v>
      </c>
      <c r="F14" s="11">
        <f t="shared" si="0"/>
        <v>295043.26495232421</v>
      </c>
      <c r="G14" s="11">
        <f t="shared" si="0"/>
        <v>299518.94062799995</v>
      </c>
      <c r="H14" s="11">
        <f t="shared" si="0"/>
        <v>303994.61630367563</v>
      </c>
      <c r="I14" s="11">
        <f t="shared" si="0"/>
        <v>308470.29197935131</v>
      </c>
      <c r="J14" s="11">
        <f t="shared" si="0"/>
        <v>313318.94062799995</v>
      </c>
      <c r="K14" s="11">
        <f t="shared" si="0"/>
        <v>318167.58927664859</v>
      </c>
      <c r="L14" s="11">
        <f t="shared" si="0"/>
        <v>321151.37306043238</v>
      </c>
      <c r="M14" s="6"/>
      <c r="N14" s="7"/>
      <c r="O14" s="6">
        <v>9</v>
      </c>
      <c r="P14" s="7">
        <f t="shared" si="1"/>
        <v>0.33333333333333331</v>
      </c>
      <c r="Q14" s="6"/>
    </row>
    <row r="15" spans="1:17" x14ac:dyDescent="0.2">
      <c r="B15" s="24">
        <v>10</v>
      </c>
      <c r="C15" s="10">
        <f t="shared" si="0"/>
        <v>291019.16675777023</v>
      </c>
      <c r="D15" s="10">
        <f t="shared" si="0"/>
        <v>295681.32891993236</v>
      </c>
      <c r="E15" s="10">
        <f t="shared" si="0"/>
        <v>300343.49108209455</v>
      </c>
      <c r="F15" s="10">
        <f t="shared" si="0"/>
        <v>307336.73432533781</v>
      </c>
      <c r="G15" s="10">
        <f t="shared" si="0"/>
        <v>311998.89648749994</v>
      </c>
      <c r="H15" s="10">
        <f t="shared" si="0"/>
        <v>316661.05864966213</v>
      </c>
      <c r="I15" s="10">
        <f t="shared" si="0"/>
        <v>321323.22081182431</v>
      </c>
      <c r="J15" s="10">
        <f t="shared" si="0"/>
        <v>326373.89648749994</v>
      </c>
      <c r="K15" s="10">
        <f t="shared" si="0"/>
        <v>331424.57216317562</v>
      </c>
      <c r="L15" s="10">
        <f t="shared" si="0"/>
        <v>334532.68027128372</v>
      </c>
      <c r="M15" s="6"/>
      <c r="N15" s="7"/>
      <c r="O15" s="6">
        <v>10</v>
      </c>
      <c r="P15" s="7">
        <f>1/4</f>
        <v>0.25</v>
      </c>
      <c r="Q15" s="6"/>
    </row>
    <row r="16" spans="1:17" x14ac:dyDescent="0.2">
      <c r="B16" s="24" t="s">
        <v>14</v>
      </c>
      <c r="C16" s="10">
        <f t="shared" ref="C16:L25" si="2">SUM(C$27/37*$O16*(1+$P16))</f>
        <v>320121.08343354723</v>
      </c>
      <c r="D16" s="10">
        <f t="shared" si="2"/>
        <v>325249.46181192563</v>
      </c>
      <c r="E16" s="10">
        <f t="shared" si="2"/>
        <v>330377.84019030398</v>
      </c>
      <c r="F16" s="10">
        <f t="shared" si="2"/>
        <v>338070.40775787155</v>
      </c>
      <c r="G16" s="10">
        <f t="shared" si="2"/>
        <v>343198.78613625001</v>
      </c>
      <c r="H16" s="10">
        <f t="shared" si="2"/>
        <v>348327.1645146283</v>
      </c>
      <c r="I16" s="10">
        <f t="shared" si="2"/>
        <v>353455.5428930067</v>
      </c>
      <c r="J16" s="10">
        <f t="shared" si="2"/>
        <v>359011.28613625001</v>
      </c>
      <c r="K16" s="10">
        <f t="shared" si="2"/>
        <v>364567.02937949321</v>
      </c>
      <c r="L16" s="10">
        <f t="shared" si="2"/>
        <v>367985.94829841214</v>
      </c>
      <c r="M16" s="6"/>
      <c r="N16" s="7"/>
      <c r="O16" s="6">
        <v>11</v>
      </c>
      <c r="P16" s="7">
        <f>1/4</f>
        <v>0.25</v>
      </c>
      <c r="Q16" s="6"/>
    </row>
    <row r="17" spans="2:17" ht="13.5" thickBot="1" x14ac:dyDescent="0.25">
      <c r="B17" s="25">
        <v>12</v>
      </c>
      <c r="C17" s="11">
        <f>SUM(C$27/37*$O17*(1+$P17))</f>
        <v>349223.00010932423</v>
      </c>
      <c r="D17" s="11">
        <f t="shared" si="2"/>
        <v>354817.5947039189</v>
      </c>
      <c r="E17" s="11">
        <f t="shared" si="2"/>
        <v>360412.1892985134</v>
      </c>
      <c r="F17" s="11">
        <f t="shared" si="2"/>
        <v>368804.08119040536</v>
      </c>
      <c r="G17" s="11">
        <f t="shared" si="2"/>
        <v>374398.67578499997</v>
      </c>
      <c r="H17" s="11">
        <f t="shared" si="2"/>
        <v>379993.27037959453</v>
      </c>
      <c r="I17" s="11">
        <f t="shared" si="2"/>
        <v>385587.86497418914</v>
      </c>
      <c r="J17" s="11">
        <f t="shared" si="2"/>
        <v>391648.67578499997</v>
      </c>
      <c r="K17" s="11">
        <f t="shared" si="2"/>
        <v>397709.48659581074</v>
      </c>
      <c r="L17" s="11">
        <f t="shared" si="2"/>
        <v>401439.21632554044</v>
      </c>
      <c r="M17" s="6"/>
      <c r="N17" s="7"/>
      <c r="O17" s="6">
        <v>12</v>
      </c>
      <c r="P17" s="7">
        <f>1/4</f>
        <v>0.25</v>
      </c>
      <c r="Q17" s="6"/>
    </row>
    <row r="18" spans="2:17" x14ac:dyDescent="0.2">
      <c r="B18" s="24">
        <v>13</v>
      </c>
      <c r="C18" s="10">
        <f t="shared" si="2"/>
        <v>363191.92011369718</v>
      </c>
      <c r="D18" s="10">
        <f t="shared" si="2"/>
        <v>369010.29849207558</v>
      </c>
      <c r="E18" s="10">
        <f t="shared" si="2"/>
        <v>374828.67687045399</v>
      </c>
      <c r="F18" s="10">
        <f t="shared" si="2"/>
        <v>383556.2444380215</v>
      </c>
      <c r="G18" s="10">
        <f t="shared" si="2"/>
        <v>389374.6228163999</v>
      </c>
      <c r="H18" s="10">
        <f t="shared" si="2"/>
        <v>395193.00119477831</v>
      </c>
      <c r="I18" s="10">
        <f t="shared" si="2"/>
        <v>401011.37957315671</v>
      </c>
      <c r="J18" s="10">
        <f t="shared" si="2"/>
        <v>407314.6228163999</v>
      </c>
      <c r="K18" s="10">
        <f t="shared" si="2"/>
        <v>413617.86605964316</v>
      </c>
      <c r="L18" s="10">
        <f t="shared" si="2"/>
        <v>417496.78497856209</v>
      </c>
      <c r="M18" s="6"/>
      <c r="N18" s="7"/>
      <c r="O18" s="6">
        <v>13</v>
      </c>
      <c r="P18" s="7">
        <f>1/5</f>
        <v>0.2</v>
      </c>
      <c r="Q18" s="6"/>
    </row>
    <row r="19" spans="2:17" x14ac:dyDescent="0.2">
      <c r="B19" s="24" t="s">
        <v>15</v>
      </c>
      <c r="C19" s="10">
        <f t="shared" si="2"/>
        <v>391129.76012244314</v>
      </c>
      <c r="D19" s="10">
        <f t="shared" si="2"/>
        <v>397395.70606838912</v>
      </c>
      <c r="E19" s="10">
        <f t="shared" si="2"/>
        <v>403661.65201433504</v>
      </c>
      <c r="F19" s="10">
        <f t="shared" si="2"/>
        <v>413060.57093325403</v>
      </c>
      <c r="G19" s="10">
        <f t="shared" si="2"/>
        <v>419326.51687919995</v>
      </c>
      <c r="H19" s="10">
        <f t="shared" si="2"/>
        <v>425592.46282514586</v>
      </c>
      <c r="I19" s="10">
        <f t="shared" si="2"/>
        <v>431858.40877109184</v>
      </c>
      <c r="J19" s="10">
        <f t="shared" si="2"/>
        <v>438646.51687919995</v>
      </c>
      <c r="K19" s="10">
        <f t="shared" si="2"/>
        <v>445434.62498730799</v>
      </c>
      <c r="L19" s="10">
        <f t="shared" si="2"/>
        <v>449611.92228460539</v>
      </c>
      <c r="M19" s="6"/>
      <c r="N19" s="7"/>
      <c r="O19" s="6">
        <v>14</v>
      </c>
      <c r="P19" s="7">
        <f>1/5</f>
        <v>0.2</v>
      </c>
      <c r="Q19" s="6"/>
    </row>
    <row r="20" spans="2:17" ht="13.5" thickBot="1" x14ac:dyDescent="0.25">
      <c r="B20" s="25">
        <v>15</v>
      </c>
      <c r="C20" s="11">
        <f t="shared" si="2"/>
        <v>419067.60013118904</v>
      </c>
      <c r="D20" s="11">
        <f t="shared" si="2"/>
        <v>425781.11364470259</v>
      </c>
      <c r="E20" s="11">
        <f t="shared" si="2"/>
        <v>432494.62715821614</v>
      </c>
      <c r="F20" s="11">
        <f t="shared" si="2"/>
        <v>442564.89742848644</v>
      </c>
      <c r="G20" s="11">
        <f t="shared" si="2"/>
        <v>449278.41094199993</v>
      </c>
      <c r="H20" s="11">
        <f t="shared" si="2"/>
        <v>455991.92445551342</v>
      </c>
      <c r="I20" s="11">
        <f t="shared" si="2"/>
        <v>462705.43796902697</v>
      </c>
      <c r="J20" s="11">
        <f t="shared" si="2"/>
        <v>469978.41094199993</v>
      </c>
      <c r="K20" s="11">
        <f t="shared" si="2"/>
        <v>477251.38391497289</v>
      </c>
      <c r="L20" s="11">
        <f t="shared" si="2"/>
        <v>481727.05959064857</v>
      </c>
      <c r="M20" s="6"/>
      <c r="N20" s="7"/>
      <c r="O20" s="6">
        <v>15</v>
      </c>
      <c r="P20" s="7">
        <f>1/5</f>
        <v>0.2</v>
      </c>
      <c r="Q20" s="6"/>
    </row>
    <row r="21" spans="2:17" x14ac:dyDescent="0.2">
      <c r="B21" s="24">
        <v>16</v>
      </c>
      <c r="C21" s="10">
        <f t="shared" si="2"/>
        <v>428380.21346743772</v>
      </c>
      <c r="D21" s="10">
        <f t="shared" si="2"/>
        <v>435242.91617014044</v>
      </c>
      <c r="E21" s="10">
        <f t="shared" si="2"/>
        <v>442105.6188728431</v>
      </c>
      <c r="F21" s="10">
        <f t="shared" si="2"/>
        <v>452399.67292689718</v>
      </c>
      <c r="G21" s="10">
        <f t="shared" si="2"/>
        <v>459262.3756295999</v>
      </c>
      <c r="H21" s="10">
        <f t="shared" si="2"/>
        <v>466125.07833230263</v>
      </c>
      <c r="I21" s="10">
        <f t="shared" si="2"/>
        <v>472987.78103500529</v>
      </c>
      <c r="J21" s="10">
        <f t="shared" si="2"/>
        <v>480422.3756295999</v>
      </c>
      <c r="K21" s="10">
        <f t="shared" si="2"/>
        <v>487856.97022419446</v>
      </c>
      <c r="L21" s="10">
        <f t="shared" si="2"/>
        <v>492432.10535932961</v>
      </c>
      <c r="M21" s="6"/>
      <c r="N21" s="7"/>
      <c r="O21" s="6">
        <v>16</v>
      </c>
      <c r="P21" s="7">
        <f>3/20</f>
        <v>0.15</v>
      </c>
      <c r="Q21" s="6"/>
    </row>
    <row r="22" spans="2:17" x14ac:dyDescent="0.2">
      <c r="B22" s="24">
        <v>17</v>
      </c>
      <c r="C22" s="10">
        <f t="shared" si="2"/>
        <v>455153.97680915258</v>
      </c>
      <c r="D22" s="10">
        <f t="shared" si="2"/>
        <v>462445.59843077417</v>
      </c>
      <c r="E22" s="10">
        <f t="shared" si="2"/>
        <v>469737.22005239577</v>
      </c>
      <c r="F22" s="10">
        <f t="shared" si="2"/>
        <v>480674.65248482826</v>
      </c>
      <c r="G22" s="10">
        <f t="shared" si="2"/>
        <v>487966.27410644986</v>
      </c>
      <c r="H22" s="10">
        <f t="shared" si="2"/>
        <v>495257.89572807151</v>
      </c>
      <c r="I22" s="10">
        <f t="shared" si="2"/>
        <v>502549.51734969317</v>
      </c>
      <c r="J22" s="10">
        <f t="shared" si="2"/>
        <v>510448.77410644986</v>
      </c>
      <c r="K22" s="10">
        <f t="shared" si="2"/>
        <v>518348.0308632066</v>
      </c>
      <c r="L22" s="10">
        <f t="shared" si="2"/>
        <v>523209.11194428772</v>
      </c>
      <c r="M22" s="6"/>
      <c r="N22" s="7"/>
      <c r="O22" s="6">
        <v>17</v>
      </c>
      <c r="P22" s="7">
        <f>3/20</f>
        <v>0.15</v>
      </c>
      <c r="Q22" s="6"/>
    </row>
    <row r="23" spans="2:17" x14ac:dyDescent="0.2">
      <c r="B23" s="24" t="s">
        <v>16</v>
      </c>
      <c r="C23" s="10">
        <f t="shared" si="2"/>
        <v>481927.74015086744</v>
      </c>
      <c r="D23" s="10">
        <f t="shared" si="2"/>
        <v>489648.28069140797</v>
      </c>
      <c r="E23" s="10">
        <f t="shared" si="2"/>
        <v>497368.8212319485</v>
      </c>
      <c r="F23" s="10">
        <f t="shared" si="2"/>
        <v>508949.63204275927</v>
      </c>
      <c r="G23" s="10">
        <f t="shared" si="2"/>
        <v>516670.17258329986</v>
      </c>
      <c r="H23" s="10">
        <f t="shared" si="2"/>
        <v>524390.71312384051</v>
      </c>
      <c r="I23" s="10">
        <f t="shared" si="2"/>
        <v>532111.25366438099</v>
      </c>
      <c r="J23" s="10">
        <f t="shared" si="2"/>
        <v>540475.17258329992</v>
      </c>
      <c r="K23" s="10">
        <f t="shared" si="2"/>
        <v>548839.09150221874</v>
      </c>
      <c r="L23" s="10">
        <f t="shared" si="2"/>
        <v>553986.11852924584</v>
      </c>
      <c r="M23" s="6"/>
      <c r="N23" s="7"/>
      <c r="O23" s="6">
        <v>18</v>
      </c>
      <c r="P23" s="7">
        <f>3/20</f>
        <v>0.15</v>
      </c>
      <c r="Q23" s="6"/>
    </row>
    <row r="24" spans="2:17" x14ac:dyDescent="0.2">
      <c r="B24" s="24">
        <v>19</v>
      </c>
      <c r="C24" s="10">
        <f t="shared" si="2"/>
        <v>508701.5034925823</v>
      </c>
      <c r="D24" s="10">
        <f t="shared" si="2"/>
        <v>516850.96295204171</v>
      </c>
      <c r="E24" s="10">
        <f t="shared" si="2"/>
        <v>525000.42241150117</v>
      </c>
      <c r="F24" s="10">
        <f t="shared" si="2"/>
        <v>537224.6116006904</v>
      </c>
      <c r="G24" s="10">
        <f t="shared" si="2"/>
        <v>545374.07106014993</v>
      </c>
      <c r="H24" s="10">
        <f t="shared" si="2"/>
        <v>553523.53051960934</v>
      </c>
      <c r="I24" s="10">
        <f t="shared" si="2"/>
        <v>561672.98997906887</v>
      </c>
      <c r="J24" s="10">
        <f t="shared" si="2"/>
        <v>570501.57106014993</v>
      </c>
      <c r="K24" s="10">
        <f t="shared" si="2"/>
        <v>579330.15214123088</v>
      </c>
      <c r="L24" s="10">
        <f t="shared" si="2"/>
        <v>584763.12511420401</v>
      </c>
      <c r="M24" s="6"/>
      <c r="N24" s="7"/>
      <c r="O24" s="6">
        <v>19</v>
      </c>
      <c r="P24" s="7">
        <f>3/20</f>
        <v>0.15</v>
      </c>
      <c r="Q24" s="6"/>
    </row>
    <row r="25" spans="2:17" ht="13.5" thickBot="1" x14ac:dyDescent="0.25">
      <c r="B25" s="25">
        <v>20</v>
      </c>
      <c r="C25" s="11">
        <f>SUM(C$27/37*$O25*(1+$P25))</f>
        <v>535475.2668342971</v>
      </c>
      <c r="D25" s="11">
        <f t="shared" si="2"/>
        <v>544053.64521267544</v>
      </c>
      <c r="E25" s="11">
        <f t="shared" si="2"/>
        <v>552632.0235910539</v>
      </c>
      <c r="F25" s="11">
        <f t="shared" si="2"/>
        <v>565499.59115862148</v>
      </c>
      <c r="G25" s="11">
        <f t="shared" si="2"/>
        <v>574077.96953699982</v>
      </c>
      <c r="H25" s="11">
        <f t="shared" si="2"/>
        <v>582656.34791537828</v>
      </c>
      <c r="I25" s="11">
        <f t="shared" si="2"/>
        <v>591234.72629375663</v>
      </c>
      <c r="J25" s="11">
        <f t="shared" si="2"/>
        <v>600527.96953699982</v>
      </c>
      <c r="K25" s="11">
        <f t="shared" si="2"/>
        <v>609821.21278024314</v>
      </c>
      <c r="L25" s="11">
        <f t="shared" si="2"/>
        <v>615540.13169916207</v>
      </c>
      <c r="M25" s="6"/>
      <c r="N25" s="7"/>
      <c r="O25" s="6">
        <v>20</v>
      </c>
      <c r="P25" s="7">
        <f>3/20</f>
        <v>0.15</v>
      </c>
      <c r="Q25" s="6"/>
    </row>
    <row r="26" spans="2:17" x14ac:dyDescent="0.2">
      <c r="B26" s="26" t="s">
        <v>18</v>
      </c>
      <c r="C26" s="12">
        <f>SUM(L26-112000)</f>
        <v>749058.02921999991</v>
      </c>
      <c r="D26" s="12">
        <f>SUM(L26-100000)</f>
        <v>761058.02921999991</v>
      </c>
      <c r="E26" s="12">
        <f>SUM(L26-88000)</f>
        <v>773058.02921999991</v>
      </c>
      <c r="F26" s="12">
        <f>SUM(L26-70000)</f>
        <v>791058.02921999991</v>
      </c>
      <c r="G26" s="12">
        <f>SUM(L26-58000)</f>
        <v>803058.02921999991</v>
      </c>
      <c r="H26" s="12">
        <f>SUM(L26-46000)</f>
        <v>815058.02921999991</v>
      </c>
      <c r="I26" s="12">
        <f>SUM(L26-34000)</f>
        <v>827058.02921999991</v>
      </c>
      <c r="J26" s="12">
        <f>SUM(L26-21000)</f>
        <v>840058.02921999991</v>
      </c>
      <c r="K26" s="12">
        <f>SUM(L26-8000)</f>
        <v>853058.02921999991</v>
      </c>
      <c r="L26" s="12">
        <f>C34</f>
        <v>861058.02921999991</v>
      </c>
      <c r="M26" s="7"/>
      <c r="N26" s="7"/>
      <c r="O26" s="7"/>
      <c r="P26" s="7"/>
      <c r="Q26" s="6"/>
    </row>
    <row r="27" spans="2:17" ht="13.5" thickBot="1" x14ac:dyDescent="0.25">
      <c r="B27" s="27" t="s">
        <v>19</v>
      </c>
      <c r="C27" s="13">
        <f>SUM(C26*(1+$C31))</f>
        <v>861416.73360299983</v>
      </c>
      <c r="D27" s="13">
        <f t="shared" ref="D27:K27" si="3">SUM(D26*(1+$C31))</f>
        <v>875216.73360299983</v>
      </c>
      <c r="E27" s="13">
        <f t="shared" si="3"/>
        <v>889016.73360299983</v>
      </c>
      <c r="F27" s="13">
        <f t="shared" si="3"/>
        <v>909716.73360299983</v>
      </c>
      <c r="G27" s="13">
        <f t="shared" si="3"/>
        <v>923516.73360299983</v>
      </c>
      <c r="H27" s="13">
        <f t="shared" si="3"/>
        <v>937316.73360299983</v>
      </c>
      <c r="I27" s="13">
        <f t="shared" si="3"/>
        <v>951116.73360299983</v>
      </c>
      <c r="J27" s="13">
        <f t="shared" si="3"/>
        <v>966066.73360299983</v>
      </c>
      <c r="K27" s="13">
        <f t="shared" si="3"/>
        <v>981016.73360299983</v>
      </c>
      <c r="L27" s="13">
        <f>SUM(L26*(1+$C31))</f>
        <v>990216.73360299983</v>
      </c>
      <c r="M27" s="6"/>
      <c r="N27" s="7"/>
      <c r="O27" s="6"/>
      <c r="P27" s="6"/>
      <c r="Q27" s="6"/>
    </row>
    <row r="28" spans="2:17" x14ac:dyDescent="0.2">
      <c r="B28" s="6"/>
      <c r="C28" s="14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  <c r="O28" s="6"/>
      <c r="P28" s="6"/>
      <c r="Q28" s="6"/>
    </row>
    <row r="29" spans="2:17" x14ac:dyDescent="0.2">
      <c r="B29" s="15"/>
      <c r="C29" s="15">
        <v>738048</v>
      </c>
      <c r="D29" s="16" t="s">
        <v>24</v>
      </c>
      <c r="E29" s="16"/>
      <c r="F29" s="16"/>
      <c r="G29" s="16"/>
      <c r="H29" s="16"/>
      <c r="I29" s="16"/>
      <c r="J29" s="18"/>
      <c r="K29" s="18"/>
      <c r="L29" s="18"/>
      <c r="M29" s="6"/>
      <c r="N29" s="7"/>
      <c r="O29" s="6"/>
      <c r="P29" s="6"/>
      <c r="Q29" s="6"/>
    </row>
    <row r="30" spans="2:17" x14ac:dyDescent="0.2">
      <c r="B30" s="16"/>
      <c r="C30" s="15">
        <v>16532</v>
      </c>
      <c r="D30" s="16" t="s">
        <v>25</v>
      </c>
      <c r="E30" s="16"/>
      <c r="F30" s="16"/>
      <c r="G30" s="16"/>
      <c r="H30" s="16"/>
      <c r="I30" s="16"/>
      <c r="J30" s="18"/>
      <c r="K30" s="18"/>
      <c r="L30" s="18"/>
      <c r="M30" s="6"/>
      <c r="N30" s="7"/>
      <c r="O30" s="6"/>
      <c r="P30" s="6"/>
      <c r="Q30" s="6"/>
    </row>
    <row r="31" spans="2:17" x14ac:dyDescent="0.2">
      <c r="B31" s="16"/>
      <c r="C31" s="20">
        <f>0.15</f>
        <v>0.15</v>
      </c>
      <c r="D31" s="16" t="s">
        <v>22</v>
      </c>
      <c r="E31" s="16"/>
      <c r="F31" s="16"/>
      <c r="G31" s="16"/>
      <c r="H31" s="16"/>
      <c r="I31" s="16"/>
      <c r="J31" s="18"/>
      <c r="K31" s="18"/>
      <c r="L31" s="18"/>
      <c r="M31" s="6"/>
      <c r="N31" s="7"/>
      <c r="O31" s="6"/>
      <c r="P31" s="6"/>
      <c r="Q31" s="6"/>
    </row>
    <row r="32" spans="2:17" x14ac:dyDescent="0.2">
      <c r="B32" s="16"/>
      <c r="C32" s="15">
        <f>SUM(C29:C30)</f>
        <v>754580</v>
      </c>
      <c r="D32" s="16" t="s">
        <v>26</v>
      </c>
      <c r="E32" s="16"/>
      <c r="F32" s="16"/>
      <c r="G32" s="16"/>
      <c r="H32" s="16"/>
      <c r="I32" s="16"/>
      <c r="J32" s="18"/>
      <c r="K32" s="18"/>
      <c r="L32" s="18"/>
      <c r="M32" s="6"/>
      <c r="N32" s="7"/>
      <c r="O32" s="6"/>
      <c r="P32" s="6"/>
      <c r="Q32" s="6"/>
    </row>
    <row r="33" spans="2:17" x14ac:dyDescent="0.2">
      <c r="B33" s="17" t="s">
        <v>17</v>
      </c>
      <c r="C33" s="31">
        <v>1.1411089999999999</v>
      </c>
      <c r="D33" s="19" t="s">
        <v>27</v>
      </c>
      <c r="E33" s="16"/>
      <c r="F33" s="16"/>
      <c r="G33" s="16"/>
      <c r="H33" s="16"/>
      <c r="I33" s="16"/>
      <c r="J33" s="18"/>
      <c r="K33" s="18"/>
      <c r="L33" s="18"/>
      <c r="M33" s="6"/>
      <c r="N33" s="7"/>
      <c r="O33" s="6"/>
      <c r="P33" s="6"/>
      <c r="Q33" s="6"/>
    </row>
    <row r="34" spans="2:17" x14ac:dyDescent="0.2">
      <c r="B34" s="16"/>
      <c r="C34" s="15">
        <f>C32*C33</f>
        <v>861058.02921999991</v>
      </c>
      <c r="D34" s="16" t="s">
        <v>28</v>
      </c>
      <c r="E34" s="16"/>
      <c r="F34" s="16"/>
      <c r="G34" s="16"/>
      <c r="H34" s="16"/>
      <c r="I34" s="16"/>
      <c r="J34" s="18"/>
      <c r="K34" s="18"/>
      <c r="L34" s="18"/>
      <c r="M34" s="6"/>
      <c r="N34" s="7"/>
      <c r="O34" s="6"/>
      <c r="P34" s="6"/>
      <c r="Q34" s="6"/>
    </row>
    <row r="36" spans="2:17" x14ac:dyDescent="0.2">
      <c r="C36" s="15" t="s">
        <v>21</v>
      </c>
    </row>
    <row r="37" spans="2:17" x14ac:dyDescent="0.2">
      <c r="C37" s="15" t="s">
        <v>20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bedriftslægeløn 1.4.94</dc:title>
  <dc:creator>Hanne</dc:creator>
  <cp:lastModifiedBy>Tine Backhausen</cp:lastModifiedBy>
  <cp:lastPrinted>2013-09-06T09:31:21Z</cp:lastPrinted>
  <dcterms:created xsi:type="dcterms:W3CDTF">1998-09-17T16:23:09Z</dcterms:created>
  <dcterms:modified xsi:type="dcterms:W3CDTF">2024-04-04T08:20:33Z</dcterms:modified>
</cp:coreProperties>
</file>